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barbosr\Google Drive\05_Posts\1_good to go\histogramas aplicacoes\"/>
    </mc:Choice>
  </mc:AlternateContent>
  <bookViews>
    <workbookView xWindow="0" yWindow="0" windowWidth="16392" windowHeight="5664"/>
  </bookViews>
  <sheets>
    <sheet name="Produtividade" sheetId="1" r:id="rId1"/>
    <sheet name="Desvios de prazo" sheetId="2" r:id="rId2"/>
    <sheet name="Causas de atraso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E8" i="3"/>
  <c r="E7" i="3"/>
  <c r="E6" i="3"/>
  <c r="E10" i="3" s="1"/>
  <c r="E5" i="3"/>
  <c r="E4" i="3"/>
  <c r="E3" i="3"/>
  <c r="F3" i="3" l="1"/>
  <c r="G3" i="3" s="1"/>
  <c r="F7" i="3"/>
  <c r="F4" i="3"/>
  <c r="F8" i="3"/>
  <c r="F5" i="3"/>
  <c r="F9" i="3"/>
  <c r="F6" i="3"/>
  <c r="G4" i="3" l="1"/>
  <c r="G5" i="3" s="1"/>
  <c r="G6" i="3" s="1"/>
  <c r="G7" i="3" s="1"/>
  <c r="G8" i="3" s="1"/>
  <c r="G9" i="3" s="1"/>
  <c r="D7" i="2"/>
  <c r="F7" i="2" s="1"/>
  <c r="D6" i="2"/>
  <c r="F6" i="2" s="1"/>
  <c r="D5" i="2"/>
  <c r="F5" i="2" s="1"/>
  <c r="D4" i="2"/>
  <c r="F4" i="2" s="1"/>
  <c r="D3" i="2"/>
  <c r="F3" i="2" s="1"/>
  <c r="D2" i="2"/>
  <c r="D8" i="2"/>
  <c r="F8" i="2" s="1"/>
  <c r="D9" i="2"/>
  <c r="F9" i="2" s="1"/>
  <c r="D10" i="2"/>
  <c r="F10" i="2" s="1"/>
  <c r="D11" i="2"/>
  <c r="F11" i="2" s="1"/>
  <c r="C2" i="1"/>
  <c r="C5" i="1"/>
  <c r="C6" i="1"/>
  <c r="C10" i="1"/>
  <c r="G10" i="1"/>
  <c r="G9" i="1"/>
  <c r="G8" i="1"/>
  <c r="C3" i="1" s="1"/>
  <c r="F2" i="2" l="1"/>
  <c r="E2" i="2"/>
  <c r="E10" i="2"/>
  <c r="E11" i="2"/>
  <c r="C9" i="1"/>
  <c r="C8" i="1"/>
  <c r="C4" i="1"/>
  <c r="C11" i="1"/>
  <c r="C7" i="1"/>
  <c r="J13" i="2" l="1"/>
  <c r="J12" i="2"/>
  <c r="G2" i="2" s="1"/>
  <c r="E9" i="2"/>
  <c r="E7" i="2"/>
  <c r="E5" i="2"/>
  <c r="E6" i="2"/>
  <c r="E3" i="2"/>
  <c r="E4" i="2"/>
  <c r="E8" i="2"/>
  <c r="C12" i="1"/>
  <c r="P15" i="2" l="1"/>
  <c r="G4" i="2"/>
  <c r="G3" i="2"/>
  <c r="G8" i="2"/>
  <c r="G12" i="2" s="1"/>
  <c r="G13" i="2" s="1"/>
  <c r="J10" i="2" s="1"/>
  <c r="G9" i="2"/>
  <c r="G6" i="2"/>
  <c r="G5" i="2"/>
  <c r="G11" i="2"/>
  <c r="G7" i="2"/>
  <c r="G10" i="2"/>
  <c r="E12" i="2"/>
  <c r="E13" i="2" s="1"/>
  <c r="C13" i="1"/>
  <c r="D12" i="1"/>
  <c r="N15" i="2" l="1"/>
  <c r="O15" i="2"/>
  <c r="R15" i="2"/>
  <c r="S15" i="2"/>
  <c r="Q15" i="2"/>
  <c r="M15" i="2"/>
  <c r="L15" i="1"/>
  <c r="M15" i="1" s="1"/>
  <c r="N15" i="1"/>
  <c r="J15" i="1"/>
  <c r="K15" i="1"/>
  <c r="O15" i="1" l="1"/>
  <c r="I15" i="1"/>
</calcChain>
</file>

<file path=xl/sharedStrings.xml><?xml version="1.0" encoding="utf-8"?>
<sst xmlns="http://schemas.openxmlformats.org/spreadsheetml/2006/main" count="81" uniqueCount="37">
  <si>
    <t>Projeto</t>
  </si>
  <si>
    <t>Horas/PF</t>
  </si>
  <si>
    <t>Bloco</t>
  </si>
  <si>
    <t>Mais</t>
  </si>
  <si>
    <t>Freqüência</t>
  </si>
  <si>
    <t>Outras análises</t>
  </si>
  <si>
    <t>Média</t>
  </si>
  <si>
    <t>Mediana</t>
  </si>
  <si>
    <t>Desvio</t>
  </si>
  <si>
    <t>média</t>
  </si>
  <si>
    <t>Colunas1</t>
  </si>
  <si>
    <t>Variância</t>
  </si>
  <si>
    <t>variância</t>
  </si>
  <si>
    <t>desvio padrão</t>
  </si>
  <si>
    <r>
      <t>1</t>
    </r>
    <r>
      <rPr>
        <sz val="11"/>
        <color theme="1"/>
        <rFont val="Calibri"/>
        <family val="2"/>
      </rPr>
      <t>δ</t>
    </r>
  </si>
  <si>
    <t>2δ</t>
  </si>
  <si>
    <t>3δ</t>
  </si>
  <si>
    <t>Prazo Plan</t>
  </si>
  <si>
    <t>Prazo real</t>
  </si>
  <si>
    <t>Diff</t>
  </si>
  <si>
    <t>Diff %</t>
  </si>
  <si>
    <t>Média do %</t>
  </si>
  <si>
    <t>Variância do %</t>
  </si>
  <si>
    <t>DESVIO</t>
  </si>
  <si>
    <t>Motivo de atraso</t>
  </si>
  <si>
    <t>Mudança de escopo</t>
  </si>
  <si>
    <t>Preço mal negociado</t>
  </si>
  <si>
    <t>Retrabalho</t>
  </si>
  <si>
    <t>Riscos ocorridos</t>
  </si>
  <si>
    <t>Problemas de infraestrutura</t>
  </si>
  <si>
    <t>Mudanças de prioridade</t>
  </si>
  <si>
    <t>Novos requisitos de qualidade</t>
  </si>
  <si>
    <t>TOTALIZADORES</t>
  </si>
  <si>
    <t>Motivo</t>
  </si>
  <si>
    <t>Qtde</t>
  </si>
  <si>
    <t>%</t>
  </si>
  <si>
    <t>%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</si>
</sst>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10" fontId="0" fillId="0" borderId="0" xfId="0" applyNumberFormat="1"/>
    <xf numFmtId="9" fontId="0" fillId="0" borderId="0" xfId="1" applyFont="1"/>
    <xf numFmtId="10" fontId="0" fillId="0" borderId="0" xfId="1" applyNumberFormat="1" applyFont="1"/>
    <xf numFmtId="2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Fill="1"/>
    <xf numFmtId="9" fontId="0" fillId="2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10" fontId="0" fillId="3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applyNumberFormat="1"/>
    <xf numFmtId="9" fontId="0" fillId="0" borderId="0" xfId="1" applyFont="1" applyFill="1" applyBorder="1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Porcentagem" xfId="1" builtinId="5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pt-BR" sz="1200"/>
              <a:t>Histograma de Produtividade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Freqüência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Produtividade!$F$2:$F$5</c:f>
              <c:strCache>
                <c:ptCount val="4"/>
                <c:pt idx="0">
                  <c:v>5</c:v>
                </c:pt>
                <c:pt idx="1">
                  <c:v>8,333333333</c:v>
                </c:pt>
                <c:pt idx="2">
                  <c:v>11,66666667</c:v>
                </c:pt>
                <c:pt idx="3">
                  <c:v>Mais</c:v>
                </c:pt>
              </c:strCache>
            </c:strRef>
          </c:cat>
          <c:val>
            <c:numRef>
              <c:f>Produtividade!$G$2:$G$5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78895376"/>
        <c:axId val="278774744"/>
      </c:barChart>
      <c:catAx>
        <c:axId val="2788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Bloco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8774744"/>
        <c:crosses val="autoZero"/>
        <c:auto val="1"/>
        <c:lblAlgn val="ctr"/>
        <c:lblOffset val="100"/>
        <c:noMultiLvlLbl val="0"/>
      </c:catAx>
      <c:valAx>
        <c:axId val="27877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Freqüência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88953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pt-BR" sz="1400"/>
              <a:t>Histograma de atrasos</a:t>
            </a:r>
            <a:r>
              <a:rPr lang="pt-BR" sz="1400" baseline="0"/>
              <a:t> em projetos</a:t>
            </a:r>
            <a:endParaRPr lang="pt-BR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Freqüência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'Desvios de prazo'!$I$2:$I$9</c:f>
              <c:strCache>
                <c:ptCount val="8"/>
                <c:pt idx="0">
                  <c:v>-20%</c:v>
                </c:pt>
                <c:pt idx="1">
                  <c:v>-10%</c:v>
                </c:pt>
                <c:pt idx="2">
                  <c:v>-5%</c:v>
                </c:pt>
                <c:pt idx="3">
                  <c:v>0%</c:v>
                </c:pt>
                <c:pt idx="4">
                  <c:v>5%</c:v>
                </c:pt>
                <c:pt idx="5">
                  <c:v>10%</c:v>
                </c:pt>
                <c:pt idx="6">
                  <c:v>20%</c:v>
                </c:pt>
                <c:pt idx="7">
                  <c:v>Mais</c:v>
                </c:pt>
              </c:strCache>
            </c:strRef>
          </c:cat>
          <c:val>
            <c:numRef>
              <c:f>'Desvios de prazo'!$J$2:$J$9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82902720"/>
        <c:axId val="278309584"/>
      </c:barChart>
      <c:catAx>
        <c:axId val="2829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Bloco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8309584"/>
        <c:crosses val="autoZero"/>
        <c:auto val="1"/>
        <c:lblAlgn val="ctr"/>
        <c:lblOffset val="100"/>
        <c:noMultiLvlLbl val="0"/>
      </c:catAx>
      <c:valAx>
        <c:axId val="27830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Freqüência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90272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Motivos de atrasos nos projetos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'Causas de atrasos'!$E$2</c:f>
              <c:strCache>
                <c:ptCount val="1"/>
                <c:pt idx="0">
                  <c:v>Qtde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'Causas de atrasos'!$D$3:$D$9</c:f>
              <c:strCache>
                <c:ptCount val="7"/>
                <c:pt idx="0">
                  <c:v>Mudança de escopo</c:v>
                </c:pt>
                <c:pt idx="1">
                  <c:v>Retrabalho</c:v>
                </c:pt>
                <c:pt idx="2">
                  <c:v>Riscos ocorridos</c:v>
                </c:pt>
                <c:pt idx="3">
                  <c:v>Mudanças de prioridade</c:v>
                </c:pt>
                <c:pt idx="4">
                  <c:v>Preço mal negociado</c:v>
                </c:pt>
                <c:pt idx="5">
                  <c:v>Problemas de infraestrutura</c:v>
                </c:pt>
                <c:pt idx="6">
                  <c:v>Novos requisitos de qualidade</c:v>
                </c:pt>
              </c:strCache>
            </c:strRef>
          </c:cat>
          <c:val>
            <c:numRef>
              <c:f>'Causas de atrasos'!$E$3:$E$9</c:f>
              <c:numCache>
                <c:formatCode>General</c:formatCode>
                <c:ptCount val="7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0504312"/>
        <c:axId val="792465264"/>
      </c:barChart>
      <c:lineChart>
        <c:grouping val="standard"/>
        <c:varyColors val="0"/>
        <c:ser>
          <c:idx val="1"/>
          <c:order val="1"/>
          <c:tx>
            <c:strRef>
              <c:f>'Causas de atrasos'!$G$2</c:f>
              <c:strCache>
                <c:ptCount val="1"/>
                <c:pt idx="0">
                  <c:v>% acumulado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'Causas de atrasos'!$D$3:$D$9</c:f>
              <c:strCache>
                <c:ptCount val="7"/>
                <c:pt idx="0">
                  <c:v>Mudança de escopo</c:v>
                </c:pt>
                <c:pt idx="1">
                  <c:v>Retrabalho</c:v>
                </c:pt>
                <c:pt idx="2">
                  <c:v>Riscos ocorridos</c:v>
                </c:pt>
                <c:pt idx="3">
                  <c:v>Mudanças de prioridade</c:v>
                </c:pt>
                <c:pt idx="4">
                  <c:v>Preço mal negociado</c:v>
                </c:pt>
                <c:pt idx="5">
                  <c:v>Problemas de infraestrutura</c:v>
                </c:pt>
                <c:pt idx="6">
                  <c:v>Novos requisitos de qualidade</c:v>
                </c:pt>
              </c:strCache>
            </c:strRef>
          </c:cat>
          <c:val>
            <c:numRef>
              <c:f>'Causas de atrasos'!$G$3:$G$9</c:f>
              <c:numCache>
                <c:formatCode>0%</c:formatCode>
                <c:ptCount val="7"/>
                <c:pt idx="0">
                  <c:v>0.36</c:v>
                </c:pt>
                <c:pt idx="1">
                  <c:v>0.56000000000000005</c:v>
                </c:pt>
                <c:pt idx="2">
                  <c:v>0.76</c:v>
                </c:pt>
                <c:pt idx="3">
                  <c:v>0.84</c:v>
                </c:pt>
                <c:pt idx="4">
                  <c:v>0.91999999999999993</c:v>
                </c:pt>
                <c:pt idx="5">
                  <c:v>0.96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63096"/>
        <c:axId val="302539456"/>
      </c:lineChart>
      <c:catAx>
        <c:axId val="290504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2465264"/>
        <c:crosses val="autoZero"/>
        <c:auto val="1"/>
        <c:lblAlgn val="ctr"/>
        <c:lblOffset val="100"/>
        <c:noMultiLvlLbl val="0"/>
      </c:catAx>
      <c:valAx>
        <c:axId val="792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504312"/>
        <c:crosses val="autoZero"/>
        <c:crossBetween val="between"/>
      </c:valAx>
      <c:valAx>
        <c:axId val="30253945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6163096"/>
        <c:crosses val="max"/>
        <c:crossBetween val="between"/>
      </c:valAx>
      <c:catAx>
        <c:axId val="826163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253945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259080</xdr:colOff>
      <xdr:row>0</xdr:row>
      <xdr:rowOff>76200</xdr:rowOff>
    </xdr:from>
    <xdr:to>
      <xdr:col>13</xdr:col>
      <xdr:colOff>312420</xdr:colOff>
      <xdr:row>12</xdr:row>
      <xdr:rowOff>22860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525780</xdr:colOff>
      <xdr:row>0</xdr:row>
      <xdr:rowOff>160020</xdr:rowOff>
    </xdr:from>
    <xdr:to>
      <xdr:col>16</xdr:col>
      <xdr:colOff>701040</xdr:colOff>
      <xdr:row>12</xdr:row>
      <xdr:rowOff>53340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</xdr:colOff>
      <xdr:row>10</xdr:row>
      <xdr:rowOff>175260</xdr:rowOff>
    </xdr:from>
    <xdr:to>
      <xdr:col>8</xdr:col>
      <xdr:colOff>140970</xdr:colOff>
      <xdr:row>25</xdr:row>
      <xdr:rowOff>175260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Projetos" displayName="tbProjetos" ref="A1:D12" totalsRowCount="1" headerRowDxfId="32" dataDxfId="31">
  <autoFilter ref="A1:D11"/>
  <tableColumns count="4">
    <tableColumn id="1" name="Projeto" dataDxfId="30" totalsRowDxfId="29"/>
    <tableColumn id="3" name="Horas/PF" totalsRowLabel="variância" totalsRowDxfId="28"/>
    <tableColumn id="2" name="Variância" totalsRowFunction="custom" dataDxfId="27" totalsRowDxfId="26">
      <calculatedColumnFormula>(tbProjetos[[#This Row],[Horas/PF]]-G$8)^2/(COUNTA(tbProjetos[Projeto])-1)</calculatedColumnFormula>
      <totalsRowFormula>SUM(tbProjetos[Variância])</totalsRowFormula>
    </tableColumn>
    <tableColumn id="4" name="Colunas1" totalsRowFunction="custom" dataDxfId="25" dataCellStyle="Porcentagem">
      <totalsRowFormula>tbProjetos[[#Totals],[Variância]]/G8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Desvio" displayName="tbDesvio" ref="A1:G12" totalsRowCount="1" headerRowDxfId="24" dataDxfId="23">
  <autoFilter ref="A1:G11"/>
  <tableColumns count="7">
    <tableColumn id="1" name="Projeto" dataDxfId="22" totalsRowDxfId="16"/>
    <tableColumn id="3" name="Prazo Plan" totalsRowLabel="variância" totalsRowDxfId="15"/>
    <tableColumn id="5" name="Prazo real" dataDxfId="21" totalsRowDxfId="14"/>
    <tableColumn id="6" name="Diff" dataDxfId="20" totalsRowDxfId="13">
      <calculatedColumnFormula>tbDesvio[[#This Row],[Prazo real]]-tbDesvio[[#This Row],[Prazo Plan]]</calculatedColumnFormula>
    </tableColumn>
    <tableColumn id="2" name="Variância" totalsRowFunction="custom" dataDxfId="19" totalsRowDxfId="12">
      <calculatedColumnFormula>(tbDesvio[[#This Row],[Diff]]-J$8)^2/(COUNTA(tbDesvio[Projeto])-1)</calculatedColumnFormula>
      <totalsRowFormula>SUM(tbDesvio[Variância])</totalsRowFormula>
    </tableColumn>
    <tableColumn id="4" name="Diff %" dataDxfId="18" totalsRowDxfId="11">
      <calculatedColumnFormula>tbDesvio[[#This Row],[Diff]]/tbDesvio[[#This Row],[Prazo Plan]]</calculatedColumnFormula>
    </tableColumn>
    <tableColumn id="7" name="Variância do %" totalsRowFunction="custom" dataDxfId="17" totalsRowDxfId="10">
      <calculatedColumnFormula>(tbDesvio[[#This Row],[Diff %]]-J$12)^2/(COUNTA(tbDesvio[Projeto])-1)</calculatedColumnFormula>
      <totalsRowFormula>SUM(tbDesvio[Variância do %])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Projetos4" displayName="tbProjetos4" ref="A1:B27" totalsRowCount="1" headerRowDxfId="9" dataDxfId="8">
  <autoFilter ref="A1:B26"/>
  <tableColumns count="2">
    <tableColumn id="1" name="Projeto" dataDxfId="7" totalsRowDxfId="6"/>
    <tableColumn id="3" name="Motivo de atraso" totalsRow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D2:G9" totalsRowShown="0" headerRowDxfId="0">
  <autoFilter ref="D2:G9"/>
  <sortState ref="D3:G9">
    <sortCondition descending="1" ref="E2:E9"/>
  </sortState>
  <tableColumns count="4">
    <tableColumn id="1" name="Motivo" dataDxfId="4"/>
    <tableColumn id="2" name="Qtde" dataDxfId="3">
      <calculatedColumnFormula>COUNTIF(tbProjetos4[Motivo de atraso],D3)</calculatedColumnFormula>
    </tableColumn>
    <tableColumn id="3" name="%" dataDxfId="2" dataCellStyle="Porcentagem">
      <calculatedColumnFormula>E3/$E$10</calculatedColumnFormula>
    </tableColumn>
    <tableColumn id="4" name="% acumulado" dataDxfId="1" dataCellStyle="Porcentagem">
      <calculatedColumnFormula>F3+G2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/>
  </sheetViews>
  <sheetFormatPr defaultRowHeight="14.4" x14ac:dyDescent="0.3"/>
  <cols>
    <col min="1" max="1" width="11.6640625" style="3" bestFit="1" customWidth="1"/>
    <col min="2" max="2" width="13.109375" style="3" bestFit="1" customWidth="1"/>
    <col min="3" max="3" width="13.21875" style="3" bestFit="1" customWidth="1"/>
    <col min="9" max="11" width="10.44140625" bestFit="1" customWidth="1"/>
    <col min="12" max="15" width="11.44140625" bestFit="1" customWidth="1"/>
  </cols>
  <sheetData>
    <row r="1" spans="1:15" x14ac:dyDescent="0.3">
      <c r="A1" s="2" t="s">
        <v>0</v>
      </c>
      <c r="B1" s="2" t="s">
        <v>1</v>
      </c>
      <c r="C1" s="2" t="s">
        <v>11</v>
      </c>
      <c r="D1" s="2" t="s">
        <v>10</v>
      </c>
      <c r="E1" s="2"/>
      <c r="F1" s="6" t="s">
        <v>2</v>
      </c>
      <c r="G1" s="6" t="s">
        <v>4</v>
      </c>
    </row>
    <row r="2" spans="1:15" x14ac:dyDescent="0.3">
      <c r="A2" s="3">
        <v>1</v>
      </c>
      <c r="B2" s="3">
        <v>13</v>
      </c>
      <c r="C2" s="3">
        <f>(tbProjetos[[#This Row],[Horas/PF]]-G$8)^2/(COUNTA(tbProjetos[Projeto])-1)</f>
        <v>0.90249999999999986</v>
      </c>
      <c r="D2" s="3"/>
      <c r="E2" s="3"/>
      <c r="F2" s="4">
        <v>5</v>
      </c>
      <c r="G2" s="4">
        <v>1</v>
      </c>
    </row>
    <row r="3" spans="1:15" x14ac:dyDescent="0.3">
      <c r="A3" s="3">
        <v>2</v>
      </c>
      <c r="B3" s="3">
        <v>10</v>
      </c>
      <c r="C3" s="3">
        <f>(tbProjetos[[#This Row],[Horas/PF]]-G$8)^2/(COUNTA(tbProjetos[Projeto])-1)</f>
        <v>2.5000000000000118E-3</v>
      </c>
      <c r="D3" s="3"/>
      <c r="E3" s="3"/>
      <c r="F3" s="4">
        <v>8.3333333333333339</v>
      </c>
      <c r="G3" s="4">
        <v>2</v>
      </c>
    </row>
    <row r="4" spans="1:15" x14ac:dyDescent="0.3">
      <c r="A4" s="3">
        <v>3</v>
      </c>
      <c r="B4" s="3">
        <v>8</v>
      </c>
      <c r="C4" s="3">
        <f>(tbProjetos[[#This Row],[Horas/PF]]-G$8)^2/(COUNTA(tbProjetos[Projeto])-1)</f>
        <v>0.51361111111111124</v>
      </c>
      <c r="D4" s="3"/>
      <c r="E4" s="3"/>
      <c r="F4" s="4">
        <v>11.666666666666668</v>
      </c>
      <c r="G4" s="4">
        <v>4</v>
      </c>
    </row>
    <row r="5" spans="1:15" ht="15" thickBot="1" x14ac:dyDescent="0.35">
      <c r="A5" s="3">
        <v>4</v>
      </c>
      <c r="B5" s="3">
        <v>12</v>
      </c>
      <c r="C5" s="3">
        <f>(tbProjetos[[#This Row],[Horas/PF]]-G$8)^2/(COUNTA(tbProjetos[Projeto])-1)</f>
        <v>0.3802777777777776</v>
      </c>
      <c r="D5" s="3"/>
      <c r="E5" s="3"/>
      <c r="F5" s="5" t="s">
        <v>3</v>
      </c>
      <c r="G5" s="5">
        <v>3</v>
      </c>
    </row>
    <row r="6" spans="1:15" x14ac:dyDescent="0.3">
      <c r="A6" s="3">
        <v>5</v>
      </c>
      <c r="B6" s="3">
        <v>15</v>
      </c>
      <c r="C6" s="3">
        <f>(tbProjetos[[#This Row],[Horas/PF]]-G$8)^2/(COUNTA(tbProjetos[Projeto])-1)</f>
        <v>2.6136111111111107</v>
      </c>
      <c r="D6" s="3"/>
      <c r="E6" s="3"/>
    </row>
    <row r="7" spans="1:15" x14ac:dyDescent="0.3">
      <c r="A7" s="3">
        <v>6</v>
      </c>
      <c r="B7" s="3">
        <v>7</v>
      </c>
      <c r="C7" s="3">
        <f>(tbProjetos[[#This Row],[Horas/PF]]-G$8)^2/(COUNTA(tbProjetos[Projeto])-1)</f>
        <v>1.1025000000000003</v>
      </c>
      <c r="D7" s="3"/>
      <c r="E7" s="3"/>
      <c r="F7" s="1" t="s">
        <v>5</v>
      </c>
    </row>
    <row r="8" spans="1:15" x14ac:dyDescent="0.3">
      <c r="A8" s="3">
        <v>7</v>
      </c>
      <c r="B8" s="3">
        <v>5</v>
      </c>
      <c r="C8" s="3">
        <f>(tbProjetos[[#This Row],[Horas/PF]]-G$8)^2/(COUNTA(tbProjetos[Projeto])-1)</f>
        <v>2.946944444444445</v>
      </c>
      <c r="D8" s="3"/>
      <c r="E8" s="3"/>
      <c r="F8" t="s">
        <v>6</v>
      </c>
      <c r="G8" s="3">
        <f>AVERAGE(tbProjetos[Horas/PF])</f>
        <v>10.15</v>
      </c>
    </row>
    <row r="9" spans="1:15" x14ac:dyDescent="0.3">
      <c r="A9" s="3">
        <v>8</v>
      </c>
      <c r="B9" s="3">
        <v>10</v>
      </c>
      <c r="C9" s="3">
        <f>(tbProjetos[[#This Row],[Horas/PF]]-G$8)^2/(COUNTA(tbProjetos[Projeto])-1)</f>
        <v>2.5000000000000118E-3</v>
      </c>
      <c r="D9" s="3"/>
      <c r="E9" s="3"/>
      <c r="F9" t="s">
        <v>7</v>
      </c>
      <c r="G9" s="3">
        <f>MEDIAN(tbProjetos[Horas/PF])</f>
        <v>10.25</v>
      </c>
    </row>
    <row r="10" spans="1:15" x14ac:dyDescent="0.3">
      <c r="A10" s="3">
        <v>9</v>
      </c>
      <c r="B10" s="3">
        <v>11</v>
      </c>
      <c r="C10" s="3">
        <f>(tbProjetos[[#This Row],[Horas/PF]]-G$8)^2/(COUNTA(tbProjetos[Projeto])-1)</f>
        <v>8.0277777777777712E-2</v>
      </c>
      <c r="D10" s="3"/>
      <c r="E10" s="3"/>
      <c r="F10" t="s">
        <v>8</v>
      </c>
      <c r="G10" s="3">
        <f>_xlfn.STDEV.S(tbProjetos[Horas/PF])</f>
        <v>2.9254629263303515</v>
      </c>
    </row>
    <row r="11" spans="1:15" x14ac:dyDescent="0.3">
      <c r="A11" s="3">
        <v>10</v>
      </c>
      <c r="B11" s="3">
        <v>10.5</v>
      </c>
      <c r="C11" s="3">
        <f>(tbProjetos[[#This Row],[Horas/PF]]-G$8)^2/(COUNTA(tbProjetos[Projeto])-1)</f>
        <v>1.3611111111111083E-2</v>
      </c>
      <c r="D11" s="3"/>
      <c r="E11" s="3"/>
      <c r="G11" s="3"/>
    </row>
    <row r="12" spans="1:15" x14ac:dyDescent="0.3">
      <c r="B12" s="2" t="s">
        <v>12</v>
      </c>
      <c r="C12" s="11">
        <f>SUM(tbProjetos[Variância])</f>
        <v>8.5583333333333318</v>
      </c>
      <c r="D12" s="8">
        <f>tbProjetos[[#Totals],[Variância]]/G8</f>
        <v>0.84318555008210161</v>
      </c>
      <c r="E12" s="8"/>
      <c r="G12" s="3"/>
    </row>
    <row r="13" spans="1:15" x14ac:dyDescent="0.3">
      <c r="B13" s="2" t="s">
        <v>13</v>
      </c>
      <c r="C13" s="2">
        <f>SQRT(tbProjetos[[#Totals],[Variância]])</f>
        <v>2.9254629263303493</v>
      </c>
      <c r="G13" s="3"/>
    </row>
    <row r="14" spans="1:15" x14ac:dyDescent="0.3">
      <c r="G14" s="3"/>
      <c r="H14" s="3"/>
      <c r="I14" s="18" t="s">
        <v>16</v>
      </c>
      <c r="J14" s="18" t="s">
        <v>15</v>
      </c>
      <c r="K14" s="18" t="s">
        <v>14</v>
      </c>
      <c r="L14" s="18" t="s">
        <v>9</v>
      </c>
      <c r="M14" s="18" t="s">
        <v>14</v>
      </c>
      <c r="N14" s="18" t="s">
        <v>15</v>
      </c>
      <c r="O14" s="18" t="s">
        <v>16</v>
      </c>
    </row>
    <row r="15" spans="1:15" x14ac:dyDescent="0.3">
      <c r="F15" s="7"/>
      <c r="G15" s="10"/>
      <c r="H15" s="10"/>
      <c r="I15" s="19">
        <f>L15-(3*G10)</f>
        <v>1.3736112210089448</v>
      </c>
      <c r="J15" s="19">
        <f>L15-(2*G10)</f>
        <v>4.2990741473392973</v>
      </c>
      <c r="K15" s="19">
        <f>L15-G10</f>
        <v>7.2245370736696488</v>
      </c>
      <c r="L15" s="19">
        <f>G8</f>
        <v>10.15</v>
      </c>
      <c r="M15" s="19">
        <f>L15+G10</f>
        <v>13.075462926330353</v>
      </c>
      <c r="N15" s="19">
        <f>L15+(2*G10)</f>
        <v>16.000925852660703</v>
      </c>
      <c r="O15" s="19">
        <f>L15+(3*G10)</f>
        <v>18.926388778991054</v>
      </c>
    </row>
    <row r="16" spans="1:15" x14ac:dyDescent="0.3">
      <c r="F16" s="7"/>
      <c r="G16" s="10"/>
      <c r="K16" s="12"/>
      <c r="L16" s="13">
        <v>0.68</v>
      </c>
      <c r="M16" s="12"/>
    </row>
    <row r="17" spans="6:15" x14ac:dyDescent="0.3">
      <c r="F17" s="7"/>
      <c r="G17" s="10"/>
      <c r="J17" s="14"/>
      <c r="K17" s="14"/>
      <c r="L17" s="16">
        <v>0.95399999999999996</v>
      </c>
      <c r="M17" s="14"/>
      <c r="N17" s="14"/>
    </row>
    <row r="18" spans="6:15" x14ac:dyDescent="0.3">
      <c r="F18" s="9"/>
      <c r="G18" s="10"/>
      <c r="I18" s="15"/>
      <c r="J18" s="15"/>
      <c r="K18" s="15"/>
      <c r="L18" s="17">
        <v>0.997</v>
      </c>
      <c r="M18" s="15"/>
      <c r="N18" s="15"/>
      <c r="O18" s="15"/>
    </row>
    <row r="19" spans="6:15" x14ac:dyDescent="0.3">
      <c r="F19" s="7"/>
      <c r="G19" s="10"/>
    </row>
    <row r="20" spans="6:15" x14ac:dyDescent="0.3">
      <c r="F20" s="7"/>
      <c r="G20" s="10"/>
    </row>
    <row r="21" spans="6:15" x14ac:dyDescent="0.3">
      <c r="F21" s="7"/>
    </row>
    <row r="22" spans="6:15" x14ac:dyDescent="0.3">
      <c r="F22" s="7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workbookViewId="0"/>
  </sheetViews>
  <sheetFormatPr defaultRowHeight="14.4" x14ac:dyDescent="0.3"/>
  <cols>
    <col min="1" max="1" width="11.6640625" style="3" bestFit="1" customWidth="1"/>
    <col min="2" max="2" width="13.109375" style="3" bestFit="1" customWidth="1"/>
    <col min="3" max="3" width="13.109375" style="3" customWidth="1"/>
    <col min="4" max="4" width="13.109375" style="3" hidden="1" customWidth="1"/>
    <col min="5" max="5" width="13.21875" style="3" hidden="1" customWidth="1"/>
    <col min="6" max="6" width="13.21875" style="3" customWidth="1"/>
    <col min="7" max="7" width="17.88671875" bestFit="1" customWidth="1"/>
    <col min="13" max="15" width="10.44140625" bestFit="1" customWidth="1"/>
    <col min="16" max="19" width="11.44140625" bestFit="1" customWidth="1"/>
  </cols>
  <sheetData>
    <row r="1" spans="1:19" x14ac:dyDescent="0.3">
      <c r="A1" s="2" t="s">
        <v>0</v>
      </c>
      <c r="B1" s="2" t="s">
        <v>17</v>
      </c>
      <c r="C1" s="2" t="s">
        <v>18</v>
      </c>
      <c r="D1" s="2" t="s">
        <v>19</v>
      </c>
      <c r="E1" s="2" t="s">
        <v>11</v>
      </c>
      <c r="F1" s="20" t="s">
        <v>20</v>
      </c>
      <c r="G1" s="20" t="s">
        <v>22</v>
      </c>
      <c r="H1" s="20"/>
      <c r="I1" s="6" t="s">
        <v>2</v>
      </c>
      <c r="J1" s="6" t="s">
        <v>4</v>
      </c>
    </row>
    <row r="2" spans="1:19" x14ac:dyDescent="0.3">
      <c r="A2" s="3">
        <v>1</v>
      </c>
      <c r="B2" s="3">
        <v>13</v>
      </c>
      <c r="C2" s="3">
        <v>10</v>
      </c>
      <c r="D2" s="3">
        <f>tbDesvio[[#This Row],[Prazo real]]-tbDesvio[[#This Row],[Prazo Plan]]</f>
        <v>-3</v>
      </c>
      <c r="E2" s="3">
        <f>(tbDesvio[[#This Row],[Diff]]-J$8)^2/(COUNTA(tbDesvio[Projeto])-1)</f>
        <v>1.7777777777777777</v>
      </c>
      <c r="F2" s="21">
        <f>tbDesvio[[#This Row],[Diff]]/tbDesvio[[#This Row],[Prazo Plan]]</f>
        <v>-0.23076923076923078</v>
      </c>
      <c r="G2" s="3">
        <f>(tbDesvio[[#This Row],[Diff %]]-J$12)^2/(COUNTA(tbDesvio[Projeto])-1)</f>
        <v>9.2850947229901597E-3</v>
      </c>
      <c r="H2" s="3"/>
      <c r="I2" s="25">
        <v>-0.2</v>
      </c>
      <c r="J2" s="4">
        <v>1</v>
      </c>
    </row>
    <row r="3" spans="1:19" x14ac:dyDescent="0.3">
      <c r="A3" s="3">
        <v>2</v>
      </c>
      <c r="B3" s="3">
        <v>10</v>
      </c>
      <c r="C3" s="3">
        <v>12</v>
      </c>
      <c r="D3" s="3">
        <f>tbDesvio[[#This Row],[Prazo real]]-tbDesvio[[#This Row],[Prazo Plan]]</f>
        <v>2</v>
      </c>
      <c r="E3" s="3">
        <f>(tbDesvio[[#This Row],[Diff]]-J$8)^2/(COUNTA(tbDesvio[Projeto])-1)</f>
        <v>0.1111111111111111</v>
      </c>
      <c r="F3" s="21">
        <f>tbDesvio[[#This Row],[Diff]]/tbDesvio[[#This Row],[Prazo Plan]]</f>
        <v>0.2</v>
      </c>
      <c r="G3" s="3">
        <f>(tbDesvio[[#This Row],[Diff %]]-J$12)^2/(COUNTA(tbDesvio[Projeto])-1)</f>
        <v>2.2307245916969535E-3</v>
      </c>
      <c r="H3" s="3"/>
      <c r="I3" s="25">
        <v>-0.1</v>
      </c>
      <c r="J3" s="4">
        <v>1</v>
      </c>
    </row>
    <row r="4" spans="1:19" x14ac:dyDescent="0.3">
      <c r="A4" s="3">
        <v>3</v>
      </c>
      <c r="B4" s="3">
        <v>8</v>
      </c>
      <c r="C4" s="3">
        <v>10</v>
      </c>
      <c r="D4" s="3">
        <f>tbDesvio[[#This Row],[Prazo real]]-tbDesvio[[#This Row],[Prazo Plan]]</f>
        <v>2</v>
      </c>
      <c r="E4" s="3">
        <f>(tbDesvio[[#This Row],[Diff]]-J$8)^2/(COUNTA(tbDesvio[Projeto])-1)</f>
        <v>0.1111111111111111</v>
      </c>
      <c r="F4" s="21">
        <f>tbDesvio[[#This Row],[Diff]]/tbDesvio[[#This Row],[Prazo Plan]]</f>
        <v>0.25</v>
      </c>
      <c r="G4" s="3">
        <f>(tbDesvio[[#This Row],[Diff %]]-J$12)^2/(COUNTA(tbDesvio[Projeto])-1)</f>
        <v>4.0828539438263053E-3</v>
      </c>
      <c r="H4" s="3"/>
      <c r="I4" s="25">
        <v>-0.05</v>
      </c>
      <c r="J4" s="4">
        <v>3</v>
      </c>
    </row>
    <row r="5" spans="1:19" x14ac:dyDescent="0.3">
      <c r="A5" s="3">
        <v>4</v>
      </c>
      <c r="B5" s="3">
        <v>12</v>
      </c>
      <c r="C5" s="3">
        <v>11</v>
      </c>
      <c r="D5" s="3">
        <f>tbDesvio[[#This Row],[Prazo real]]-tbDesvio[[#This Row],[Prazo Plan]]</f>
        <v>-1</v>
      </c>
      <c r="E5" s="3">
        <f>(tbDesvio[[#This Row],[Diff]]-J$8)^2/(COUNTA(tbDesvio[Projeto])-1)</f>
        <v>0.44444444444444442</v>
      </c>
      <c r="F5" s="21">
        <f>tbDesvio[[#This Row],[Diff]]/tbDesvio[[#This Row],[Prazo Plan]]</f>
        <v>-8.3333333333333329E-2</v>
      </c>
      <c r="G5" s="3">
        <f>(tbDesvio[[#This Row],[Diff %]]-J$12)^2/(COUNTA(tbDesvio[Projeto])-1)</f>
        <v>2.2291520901244507E-3</v>
      </c>
      <c r="H5" s="3"/>
      <c r="I5" s="25">
        <v>0</v>
      </c>
      <c r="J5" s="4">
        <v>0</v>
      </c>
    </row>
    <row r="6" spans="1:19" x14ac:dyDescent="0.3">
      <c r="A6" s="3">
        <v>5</v>
      </c>
      <c r="B6" s="3">
        <v>15</v>
      </c>
      <c r="C6" s="3">
        <v>14</v>
      </c>
      <c r="D6" s="3">
        <f>tbDesvio[[#This Row],[Prazo real]]-tbDesvio[[#This Row],[Prazo Plan]]</f>
        <v>-1</v>
      </c>
      <c r="E6" s="3">
        <f>(tbDesvio[[#This Row],[Diff]]-J$8)^2/(COUNTA(tbDesvio[Projeto])-1)</f>
        <v>0.44444444444444442</v>
      </c>
      <c r="F6" s="21">
        <f>tbDesvio[[#This Row],[Diff]]/tbDesvio[[#This Row],[Prazo Plan]]</f>
        <v>-6.6666666666666666E-2</v>
      </c>
      <c r="G6" s="3">
        <f>(tbDesvio[[#This Row],[Diff %]]-J$12)^2/(COUNTA(tbDesvio[Projeto])-1)</f>
        <v>1.7354174297231238E-3</v>
      </c>
      <c r="H6" s="3"/>
      <c r="I6" s="25">
        <v>0.05</v>
      </c>
      <c r="J6" s="4">
        <v>1</v>
      </c>
    </row>
    <row r="7" spans="1:19" x14ac:dyDescent="0.3">
      <c r="A7" s="3">
        <v>6</v>
      </c>
      <c r="B7" s="3">
        <v>7</v>
      </c>
      <c r="C7" s="3">
        <v>6</v>
      </c>
      <c r="D7" s="3">
        <f>tbDesvio[[#This Row],[Prazo real]]-tbDesvio[[#This Row],[Prazo Plan]]</f>
        <v>-1</v>
      </c>
      <c r="E7" s="3">
        <f>(tbDesvio[[#This Row],[Diff]]-J$8)^2/(COUNTA(tbDesvio[Projeto])-1)</f>
        <v>0.44444444444444442</v>
      </c>
      <c r="F7" s="21">
        <f>tbDesvio[[#This Row],[Diff]]/tbDesvio[[#This Row],[Prazo Plan]]</f>
        <v>-0.14285714285714285</v>
      </c>
      <c r="G7" s="3">
        <f>(tbDesvio[[#This Row],[Diff %]]-J$12)^2/(COUNTA(tbDesvio[Projeto])-1)</f>
        <v>4.4963954287963598E-3</v>
      </c>
      <c r="H7" s="3"/>
      <c r="I7" s="25">
        <v>0.1</v>
      </c>
      <c r="J7" s="4">
        <v>1</v>
      </c>
    </row>
    <row r="8" spans="1:19" x14ac:dyDescent="0.3">
      <c r="A8" s="3">
        <v>7</v>
      </c>
      <c r="B8" s="3">
        <v>5</v>
      </c>
      <c r="C8" s="3">
        <v>8</v>
      </c>
      <c r="D8" s="3">
        <f>tbDesvio[[#This Row],[Prazo real]]-tbDesvio[[#This Row],[Prazo Plan]]</f>
        <v>3</v>
      </c>
      <c r="E8" s="3">
        <f>(tbDesvio[[#This Row],[Diff]]-J$8)^2/(COUNTA(tbDesvio[Projeto])-1)</f>
        <v>0.44444444444444442</v>
      </c>
      <c r="F8" s="21">
        <f>tbDesvio[[#This Row],[Diff]]/tbDesvio[[#This Row],[Prazo Plan]]</f>
        <v>0.6</v>
      </c>
      <c r="G8" s="3">
        <f>(tbDesvio[[#This Row],[Diff %]]-J$12)^2/(COUNTA(tbDesvio[Projeto])-1)</f>
        <v>3.2603314964287318E-2</v>
      </c>
      <c r="H8" s="3"/>
      <c r="I8" s="25">
        <v>0.2</v>
      </c>
      <c r="J8" s="4">
        <v>1</v>
      </c>
    </row>
    <row r="9" spans="1:19" ht="15" thickBot="1" x14ac:dyDescent="0.35">
      <c r="A9" s="3">
        <v>8</v>
      </c>
      <c r="B9" s="3">
        <v>10</v>
      </c>
      <c r="C9" s="3">
        <v>11</v>
      </c>
      <c r="D9" s="3">
        <f>tbDesvio[[#This Row],[Prazo real]]-tbDesvio[[#This Row],[Prazo Plan]]</f>
        <v>1</v>
      </c>
      <c r="E9" s="3">
        <f>(tbDesvio[[#This Row],[Diff]]-J$8)^2/(COUNTA(tbDesvio[Projeto])-1)</f>
        <v>0</v>
      </c>
      <c r="F9" s="21">
        <f>tbDesvio[[#This Row],[Diff]]/tbDesvio[[#This Row],[Prazo Plan]]</f>
        <v>0.1</v>
      </c>
      <c r="G9" s="3">
        <f>(tbDesvio[[#This Row],[Diff %]]-J$12)^2/(COUNTA(tbDesvio[Projeto])-1)</f>
        <v>1.9313255410491521E-4</v>
      </c>
      <c r="H9" s="3"/>
      <c r="I9" s="5" t="s">
        <v>3</v>
      </c>
      <c r="J9" s="5">
        <v>2</v>
      </c>
    </row>
    <row r="10" spans="1:19" x14ac:dyDescent="0.3">
      <c r="A10" s="3">
        <v>9</v>
      </c>
      <c r="B10" s="3">
        <v>11</v>
      </c>
      <c r="C10" s="3">
        <v>10</v>
      </c>
      <c r="D10" s="3">
        <f>tbDesvio[[#This Row],[Prazo real]]-tbDesvio[[#This Row],[Prazo Plan]]</f>
        <v>-1</v>
      </c>
      <c r="E10" s="3">
        <f>(tbDesvio[[#This Row],[Diff]]-J$8)^2/(COUNTA(tbDesvio[Projeto])-1)</f>
        <v>0.44444444444444442</v>
      </c>
      <c r="F10" s="21">
        <f>tbDesvio[[#This Row],[Diff]]/tbDesvio[[#This Row],[Prazo Plan]]</f>
        <v>-9.0909090909090912E-2</v>
      </c>
      <c r="G10" s="3">
        <f>(tbDesvio[[#This Row],[Diff %]]-J$12)^2/(COUNTA(tbDesvio[Projeto])-1)</f>
        <v>2.4739830167735599E-3</v>
      </c>
      <c r="H10" s="3"/>
      <c r="I10" t="s">
        <v>8</v>
      </c>
      <c r="J10" s="3">
        <f>G13</f>
        <v>0.243603703685565</v>
      </c>
    </row>
    <row r="11" spans="1:19" x14ac:dyDescent="0.3">
      <c r="A11" s="3">
        <v>10</v>
      </c>
      <c r="B11" s="3">
        <v>10.5</v>
      </c>
      <c r="C11" s="3">
        <v>11</v>
      </c>
      <c r="D11" s="3">
        <f>tbDesvio[[#This Row],[Prazo real]]-tbDesvio[[#This Row],[Prazo Plan]]</f>
        <v>0.5</v>
      </c>
      <c r="E11" s="3">
        <f>(tbDesvio[[#This Row],[Diff]]-J$8)^2/(COUNTA(tbDesvio[Projeto])-1)</f>
        <v>2.7777777777777776E-2</v>
      </c>
      <c r="F11" s="21">
        <f>tbDesvio[[#This Row],[Diff]]/tbDesvio[[#This Row],[Prazo Plan]]</f>
        <v>4.7619047619047616E-2</v>
      </c>
      <c r="G11" s="3">
        <f>(tbDesvio[[#This Row],[Diff %]]-J$12)^2/(COUNTA(tbDesvio[Projeto])-1)</f>
        <v>1.2695707001401298E-5</v>
      </c>
      <c r="H11" s="3"/>
      <c r="J11" s="3"/>
    </row>
    <row r="12" spans="1:19" x14ac:dyDescent="0.3">
      <c r="B12" s="2" t="s">
        <v>12</v>
      </c>
      <c r="C12" s="2"/>
      <c r="D12" s="2"/>
      <c r="E12" s="11">
        <f>SUM(tbDesvio[Variância])</f>
        <v>4.2500000000000009</v>
      </c>
      <c r="F12" s="20"/>
      <c r="G12" s="20">
        <f>SUM(tbDesvio[Variância do %])</f>
        <v>5.9342764449324549E-2</v>
      </c>
      <c r="H12" s="20"/>
      <c r="I12" s="22" t="s">
        <v>21</v>
      </c>
      <c r="J12" s="3">
        <f>AVERAGE(tbDesvio[Diff %])</f>
        <v>5.8308358308358302E-2</v>
      </c>
    </row>
    <row r="13" spans="1:19" x14ac:dyDescent="0.3">
      <c r="B13" s="2" t="s">
        <v>13</v>
      </c>
      <c r="C13" s="2"/>
      <c r="D13" s="2"/>
      <c r="E13" s="2">
        <f>SQRT(tbDesvio[[#Totals],[Variância]])</f>
        <v>2.0615528128088303</v>
      </c>
      <c r="F13" s="2"/>
      <c r="G13" s="2">
        <f>SQRT(tbDesvio[[#Totals],[Variância do %]])</f>
        <v>0.243603703685565</v>
      </c>
      <c r="I13" t="s">
        <v>23</v>
      </c>
      <c r="J13">
        <f>_xlfn.STDEV.S(tbDesvio[Diff %])</f>
        <v>0.24360370368556503</v>
      </c>
      <c r="K13" s="3"/>
    </row>
    <row r="14" spans="1:19" x14ac:dyDescent="0.3">
      <c r="K14" s="3"/>
      <c r="L14" s="3"/>
      <c r="M14" s="3" t="s">
        <v>16</v>
      </c>
      <c r="N14" s="3" t="s">
        <v>15</v>
      </c>
      <c r="O14" s="3" t="s">
        <v>14</v>
      </c>
      <c r="P14" s="3" t="s">
        <v>9</v>
      </c>
      <c r="Q14" s="3" t="s">
        <v>14</v>
      </c>
      <c r="R14" s="3" t="s">
        <v>15</v>
      </c>
      <c r="S14" s="3" t="s">
        <v>16</v>
      </c>
    </row>
    <row r="15" spans="1:19" x14ac:dyDescent="0.3">
      <c r="I15" s="1"/>
      <c r="J15" s="7"/>
      <c r="K15" s="10"/>
      <c r="L15" s="10"/>
      <c r="M15" s="21">
        <f>P15-(3*J10)</f>
        <v>-0.67250275274833671</v>
      </c>
      <c r="N15" s="21">
        <f>P15-(2*J10)</f>
        <v>-0.42889904906277171</v>
      </c>
      <c r="O15" s="21">
        <f>P15-J10</f>
        <v>-0.18529534537720671</v>
      </c>
      <c r="P15" s="21">
        <f>J12</f>
        <v>5.8308358308358302E-2</v>
      </c>
      <c r="Q15" s="21">
        <f>P15+J10</f>
        <v>0.30191206199392329</v>
      </c>
      <c r="R15" s="21">
        <f>P15+(2*J10)</f>
        <v>0.54551576567948834</v>
      </c>
      <c r="S15" s="21">
        <f>P15+(3*J10)</f>
        <v>0.78911946936505339</v>
      </c>
    </row>
    <row r="16" spans="1:19" x14ac:dyDescent="0.3">
      <c r="I16" s="23"/>
      <c r="J16" s="7"/>
      <c r="K16" s="10"/>
      <c r="O16" s="12"/>
      <c r="P16" s="13">
        <v>0.68</v>
      </c>
      <c r="Q16" s="12"/>
    </row>
    <row r="17" spans="9:19" x14ac:dyDescent="0.3">
      <c r="I17" s="23"/>
      <c r="J17" s="7"/>
      <c r="K17" s="10"/>
      <c r="N17" s="14"/>
      <c r="O17" s="14"/>
      <c r="P17" s="16">
        <v>0.95399999999999996</v>
      </c>
      <c r="Q17" s="14"/>
      <c r="R17" s="14"/>
    </row>
    <row r="18" spans="9:19" x14ac:dyDescent="0.3">
      <c r="I18" s="23"/>
      <c r="J18" s="9"/>
      <c r="K18" s="10"/>
      <c r="M18" s="15"/>
      <c r="N18" s="15"/>
      <c r="O18" s="15"/>
      <c r="P18" s="17">
        <v>0.997</v>
      </c>
      <c r="Q18" s="15"/>
      <c r="R18" s="15"/>
      <c r="S18" s="15"/>
    </row>
    <row r="19" spans="9:19" x14ac:dyDescent="0.3">
      <c r="I19" s="23"/>
      <c r="J19" s="7"/>
      <c r="K19" s="10"/>
    </row>
    <row r="20" spans="9:19" x14ac:dyDescent="0.3">
      <c r="I20" s="23"/>
      <c r="J20" s="7"/>
      <c r="K20" s="10"/>
    </row>
    <row r="21" spans="9:19" x14ac:dyDescent="0.3">
      <c r="I21" s="23"/>
      <c r="J21" s="7"/>
    </row>
    <row r="22" spans="9:19" x14ac:dyDescent="0.3">
      <c r="I22" s="23"/>
      <c r="J22" s="7"/>
    </row>
  </sheetData>
  <sortState ref="I2:I8">
    <sortCondition ref="I2"/>
  </sortState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4.4" x14ac:dyDescent="0.3"/>
  <cols>
    <col min="1" max="1" width="11.6640625" style="3" bestFit="1" customWidth="1"/>
    <col min="2" max="2" width="25.88671875" style="3" customWidth="1"/>
    <col min="4" max="4" width="25.77734375" bestFit="1" customWidth="1"/>
    <col min="5" max="5" width="7" customWidth="1"/>
    <col min="7" max="7" width="14.21875" customWidth="1"/>
  </cols>
  <sheetData>
    <row r="1" spans="1:7" x14ac:dyDescent="0.3">
      <c r="A1" s="2" t="s">
        <v>0</v>
      </c>
      <c r="B1" s="2" t="s">
        <v>24</v>
      </c>
      <c r="C1" s="2"/>
      <c r="D1" s="28" t="s">
        <v>32</v>
      </c>
      <c r="E1" s="24"/>
    </row>
    <row r="2" spans="1:7" x14ac:dyDescent="0.3">
      <c r="A2" s="3">
        <v>1</v>
      </c>
      <c r="B2" s="3" t="s">
        <v>25</v>
      </c>
      <c r="C2" s="3"/>
      <c r="D2" s="1" t="s">
        <v>33</v>
      </c>
      <c r="E2" s="1" t="s">
        <v>34</v>
      </c>
      <c r="F2" s="2" t="s">
        <v>35</v>
      </c>
      <c r="G2" s="1" t="s">
        <v>36</v>
      </c>
    </row>
    <row r="3" spans="1:7" x14ac:dyDescent="0.3">
      <c r="A3" s="3">
        <v>2</v>
      </c>
      <c r="B3" s="3" t="s">
        <v>26</v>
      </c>
      <c r="C3" s="3"/>
      <c r="D3" s="27" t="s">
        <v>25</v>
      </c>
      <c r="E3" s="3">
        <f>COUNTIF(tbProjetos4[Motivo de atraso],D3)</f>
        <v>9</v>
      </c>
      <c r="F3" s="21">
        <f>E3/$E$10</f>
        <v>0.36</v>
      </c>
      <c r="G3" s="21">
        <f>F3</f>
        <v>0.36</v>
      </c>
    </row>
    <row r="4" spans="1:7" x14ac:dyDescent="0.3">
      <c r="A4" s="3">
        <v>3</v>
      </c>
      <c r="B4" s="3" t="s">
        <v>27</v>
      </c>
      <c r="C4" s="3"/>
      <c r="D4" s="27" t="s">
        <v>27</v>
      </c>
      <c r="E4" s="3">
        <f>COUNTIF(tbProjetos4[Motivo de atraso],D4)</f>
        <v>5</v>
      </c>
      <c r="F4" s="21">
        <f>E4/$E$10</f>
        <v>0.2</v>
      </c>
      <c r="G4" s="21">
        <f>F4+G3</f>
        <v>0.56000000000000005</v>
      </c>
    </row>
    <row r="5" spans="1:7" x14ac:dyDescent="0.3">
      <c r="A5" s="3">
        <v>4</v>
      </c>
      <c r="B5" s="3" t="s">
        <v>29</v>
      </c>
      <c r="C5" s="3"/>
      <c r="D5" s="27" t="s">
        <v>28</v>
      </c>
      <c r="E5" s="3">
        <f>COUNTIF(tbProjetos4[Motivo de atraso],D5)</f>
        <v>5</v>
      </c>
      <c r="F5" s="21">
        <f>E5/$E$10</f>
        <v>0.2</v>
      </c>
      <c r="G5" s="21">
        <f>F5+G4</f>
        <v>0.76</v>
      </c>
    </row>
    <row r="6" spans="1:7" x14ac:dyDescent="0.3">
      <c r="A6" s="3">
        <v>5</v>
      </c>
      <c r="B6" s="3" t="s">
        <v>25</v>
      </c>
      <c r="C6" s="3"/>
      <c r="D6" s="27" t="s">
        <v>30</v>
      </c>
      <c r="E6" s="3">
        <f>COUNTIF(tbProjetos4[Motivo de atraso],D6)</f>
        <v>2</v>
      </c>
      <c r="F6" s="21">
        <f>E6/$E$10</f>
        <v>0.08</v>
      </c>
      <c r="G6" s="21">
        <f>F6+G5</f>
        <v>0.84</v>
      </c>
    </row>
    <row r="7" spans="1:7" x14ac:dyDescent="0.3">
      <c r="A7" s="3">
        <v>6</v>
      </c>
      <c r="B7" s="3" t="s">
        <v>28</v>
      </c>
      <c r="C7" s="3"/>
      <c r="D7" s="27" t="s">
        <v>26</v>
      </c>
      <c r="E7" s="3">
        <f>COUNTIF(tbProjetos4[Motivo de atraso],D7)</f>
        <v>2</v>
      </c>
      <c r="F7" s="21">
        <f>E7/$E$10</f>
        <v>0.08</v>
      </c>
      <c r="G7" s="21">
        <f>F7+G6</f>
        <v>0.91999999999999993</v>
      </c>
    </row>
    <row r="8" spans="1:7" x14ac:dyDescent="0.3">
      <c r="A8" s="3">
        <v>7</v>
      </c>
      <c r="B8" s="3" t="s">
        <v>25</v>
      </c>
      <c r="C8" s="3"/>
      <c r="D8" s="27" t="s">
        <v>29</v>
      </c>
      <c r="E8" s="3">
        <f>COUNTIF(tbProjetos4[Motivo de atraso],D8)</f>
        <v>1</v>
      </c>
      <c r="F8" s="21">
        <f>E8/$E$10</f>
        <v>0.04</v>
      </c>
      <c r="G8" s="21">
        <f>F8+G7</f>
        <v>0.96</v>
      </c>
    </row>
    <row r="9" spans="1:7" x14ac:dyDescent="0.3">
      <c r="A9" s="3">
        <v>8</v>
      </c>
      <c r="B9" s="3" t="s">
        <v>25</v>
      </c>
      <c r="C9" s="3"/>
      <c r="D9" s="27" t="s">
        <v>31</v>
      </c>
      <c r="E9" s="3">
        <f>COUNTIF(tbProjetos4[Motivo de atraso],D9)</f>
        <v>1</v>
      </c>
      <c r="F9" s="21">
        <f>E9/$E$10</f>
        <v>0.04</v>
      </c>
      <c r="G9" s="21">
        <f>F9+G8</f>
        <v>1</v>
      </c>
    </row>
    <row r="10" spans="1:7" x14ac:dyDescent="0.3">
      <c r="A10" s="3">
        <v>9</v>
      </c>
      <c r="B10" s="3" t="s">
        <v>25</v>
      </c>
      <c r="C10" s="3"/>
      <c r="E10">
        <f>SUM(E3:E9)</f>
        <v>25</v>
      </c>
    </row>
    <row r="11" spans="1:7" x14ac:dyDescent="0.3">
      <c r="A11" s="3">
        <v>10</v>
      </c>
      <c r="B11" s="3" t="s">
        <v>28</v>
      </c>
      <c r="C11" s="3"/>
    </row>
    <row r="12" spans="1:7" x14ac:dyDescent="0.3">
      <c r="A12" s="3">
        <v>11</v>
      </c>
      <c r="B12" s="26" t="s">
        <v>30</v>
      </c>
      <c r="C12" s="8"/>
    </row>
    <row r="13" spans="1:7" x14ac:dyDescent="0.3">
      <c r="A13" s="3">
        <v>12</v>
      </c>
      <c r="B13" s="3" t="s">
        <v>25</v>
      </c>
    </row>
    <row r="14" spans="1:7" x14ac:dyDescent="0.3">
      <c r="A14" s="3">
        <v>13</v>
      </c>
      <c r="B14" s="3" t="s">
        <v>27</v>
      </c>
    </row>
    <row r="15" spans="1:7" x14ac:dyDescent="0.3">
      <c r="A15" s="3">
        <v>14</v>
      </c>
      <c r="B15" s="3" t="s">
        <v>27</v>
      </c>
    </row>
    <row r="16" spans="1:7" x14ac:dyDescent="0.3">
      <c r="A16" s="3">
        <v>15</v>
      </c>
      <c r="B16" s="3" t="s">
        <v>28</v>
      </c>
    </row>
    <row r="17" spans="1:2" x14ac:dyDescent="0.3">
      <c r="A17" s="3">
        <v>16</v>
      </c>
      <c r="B17" s="3" t="s">
        <v>28</v>
      </c>
    </row>
    <row r="18" spans="1:2" x14ac:dyDescent="0.3">
      <c r="A18" s="3">
        <v>17</v>
      </c>
      <c r="B18" s="3" t="s">
        <v>31</v>
      </c>
    </row>
    <row r="19" spans="1:2" x14ac:dyDescent="0.3">
      <c r="A19" s="3">
        <v>18</v>
      </c>
      <c r="B19" s="3" t="s">
        <v>28</v>
      </c>
    </row>
    <row r="20" spans="1:2" x14ac:dyDescent="0.3">
      <c r="A20" s="3">
        <v>19</v>
      </c>
      <c r="B20" s="3" t="s">
        <v>27</v>
      </c>
    </row>
    <row r="21" spans="1:2" x14ac:dyDescent="0.3">
      <c r="A21" s="3">
        <v>20</v>
      </c>
      <c r="B21" s="3" t="s">
        <v>25</v>
      </c>
    </row>
    <row r="22" spans="1:2" x14ac:dyDescent="0.3">
      <c r="A22" s="3">
        <v>21</v>
      </c>
      <c r="B22" s="3" t="s">
        <v>27</v>
      </c>
    </row>
    <row r="23" spans="1:2" x14ac:dyDescent="0.3">
      <c r="A23" s="3">
        <v>22</v>
      </c>
      <c r="B23" s="26" t="s">
        <v>30</v>
      </c>
    </row>
    <row r="24" spans="1:2" x14ac:dyDescent="0.3">
      <c r="A24" s="3">
        <v>23</v>
      </c>
      <c r="B24" s="3" t="s">
        <v>26</v>
      </c>
    </row>
    <row r="25" spans="1:2" x14ac:dyDescent="0.3">
      <c r="A25" s="3">
        <v>24</v>
      </c>
      <c r="B25" s="3" t="s">
        <v>25</v>
      </c>
    </row>
    <row r="26" spans="1:2" x14ac:dyDescent="0.3">
      <c r="A26" s="3">
        <v>25</v>
      </c>
      <c r="B26" s="3" t="s">
        <v>25</v>
      </c>
    </row>
    <row r="27" spans="1:2" x14ac:dyDescent="0.3">
      <c r="B27" s="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Produtividade</vt:lpstr>
      <vt:lpstr>Desvios de prazo</vt:lpstr>
      <vt:lpstr>Causas de atrasos</vt:lpstr>
    </vt:vector>
  </TitlesOfParts>
  <Company>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Elielson Barbosa Rodrigues</dc:creator>
  <cp:lastModifiedBy>Elielson Barbosa Rodrigues</cp:lastModifiedBy>
  <dcterms:created xsi:type="dcterms:W3CDTF">2016-07-23T22:10:06Z</dcterms:created>
  <dcterms:modified xsi:type="dcterms:W3CDTF">2016-07-24T19:57:36Z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